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.docs.live.net/8f73a542c451888e/Área de Trabalho/"/>
    </mc:Choice>
  </mc:AlternateContent>
  <xr:revisionPtr revIDLastSave="0" documentId="8_{EF412A62-C99F-469F-B097-F77CCA6BE87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MARKUP" sheetId="3" r:id="rId1"/>
    <sheet name="RESUMO" sheetId="4" r:id="rId2"/>
    <sheet name="premissas globais" sheetId="1" r:id="rId3"/>
    <sheet name="simulador de produto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9" i="1" s="1"/>
  <c r="B11" i="1" s="1"/>
  <c r="B12" i="1" s="1"/>
  <c r="B5" i="1"/>
  <c r="B4" i="1"/>
  <c r="C1" i="3"/>
  <c r="B1" i="4" s="1"/>
  <c r="B11" i="4" s="1"/>
  <c r="B4" i="4"/>
  <c r="A1" i="4"/>
  <c r="A4" i="4"/>
  <c r="A3" i="4"/>
  <c r="A2" i="4"/>
  <c r="C20" i="3"/>
  <c r="B3" i="4" s="1"/>
  <c r="F14" i="3"/>
  <c r="C13" i="3"/>
  <c r="C15" i="3" s="1"/>
  <c r="B2" i="4" s="1"/>
  <c r="H9" i="2"/>
  <c r="D5" i="1"/>
  <c r="B9" i="2"/>
  <c r="C12" i="2" s="1"/>
  <c r="C7" i="2" s="1"/>
  <c r="D7" i="2" s="1"/>
  <c r="I7" i="2" s="1"/>
  <c r="E6" i="2" l="1"/>
  <c r="E7" i="2"/>
  <c r="F7" i="2" s="1"/>
  <c r="E8" i="2"/>
  <c r="E4" i="2"/>
  <c r="E5" i="2"/>
  <c r="G11" i="3"/>
  <c r="F5" i="3"/>
  <c r="B6" i="4"/>
  <c r="B7" i="4" s="1"/>
  <c r="C11" i="4" s="1"/>
  <c r="B14" i="4" s="1"/>
  <c r="C6" i="2"/>
  <c r="D6" i="2" s="1"/>
  <c r="I6" i="2" s="1"/>
  <c r="C5" i="2"/>
  <c r="D5" i="2" s="1"/>
  <c r="I5" i="2" s="1"/>
  <c r="C4" i="2"/>
  <c r="C8" i="2"/>
  <c r="D8" i="2" s="1"/>
  <c r="I8" i="2" s="1"/>
  <c r="D15" i="3"/>
  <c r="F12" i="3"/>
  <c r="C22" i="3"/>
  <c r="C23" i="3" s="1"/>
  <c r="C24" i="3" s="1"/>
  <c r="F13" i="3"/>
  <c r="H11" i="2"/>
  <c r="I11" i="2" s="1"/>
  <c r="H13" i="2"/>
  <c r="H15" i="2"/>
  <c r="B8" i="4" l="1"/>
  <c r="I15" i="2"/>
  <c r="F5" i="2"/>
  <c r="F8" i="2"/>
  <c r="F6" i="2"/>
  <c r="F6" i="3"/>
  <c r="G6" i="3" s="1"/>
  <c r="G5" i="3"/>
  <c r="F4" i="3"/>
  <c r="F17" i="3" s="1"/>
  <c r="D1" i="3"/>
  <c r="D24" i="3"/>
  <c r="F8" i="3"/>
  <c r="G8" i="3" s="1"/>
  <c r="F15" i="3"/>
  <c r="H11" i="3" s="1"/>
  <c r="H14" i="3" s="1"/>
  <c r="F7" i="3"/>
  <c r="G7" i="3" s="1"/>
  <c r="I13" i="2"/>
  <c r="G4" i="3" l="1"/>
  <c r="H17" i="3" l="1"/>
  <c r="F19" i="3" s="1"/>
  <c r="F23" i="3" l="1"/>
  <c r="G23" i="3" s="1"/>
  <c r="F20" i="3"/>
  <c r="F21" i="3"/>
  <c r="F22" i="3" l="1"/>
  <c r="C9" i="2" l="1"/>
  <c r="D4" i="2"/>
  <c r="D9" i="2" s="1"/>
  <c r="H12" i="2" l="1"/>
  <c r="H14" i="2" s="1"/>
  <c r="I14" i="2" s="1"/>
  <c r="F12" i="2"/>
  <c r="F4" i="2"/>
  <c r="F9" i="2" s="1"/>
  <c r="I4" i="2"/>
  <c r="I12" i="2" l="1"/>
  <c r="F11" i="2"/>
  <c r="F15" i="2"/>
  <c r="H16" i="2"/>
  <c r="I16" i="2" s="1"/>
  <c r="G15" i="2" l="1"/>
  <c r="F13" i="2"/>
  <c r="G11" i="2"/>
  <c r="G12" i="2"/>
  <c r="F14" i="2" l="1"/>
  <c r="G13" i="2"/>
  <c r="G14" i="2" l="1"/>
  <c r="F16" i="2"/>
  <c r="G16" i="2" s="1"/>
</calcChain>
</file>

<file path=xl/sharedStrings.xml><?xml version="1.0" encoding="utf-8"?>
<sst xmlns="http://schemas.openxmlformats.org/spreadsheetml/2006/main" count="88" uniqueCount="81">
  <si>
    <t xml:space="preserve">CUSTO DA MERCADORIA </t>
  </si>
  <si>
    <t>CUSTOS FIXOS</t>
  </si>
  <si>
    <t>Folha de pagamento</t>
  </si>
  <si>
    <t>Despesas bancárias</t>
  </si>
  <si>
    <t>PREÇO DE VENDA</t>
  </si>
  <si>
    <t xml:space="preserve">Honorários contábeis </t>
  </si>
  <si>
    <t>CUSTO DO PRODUTO</t>
  </si>
  <si>
    <t>Material de expediente</t>
  </si>
  <si>
    <t>Aluguel</t>
  </si>
  <si>
    <t>IMPOSTOS E TAXAS</t>
  </si>
  <si>
    <t>Água</t>
  </si>
  <si>
    <t>LUCRO</t>
  </si>
  <si>
    <t xml:space="preserve">Luz </t>
  </si>
  <si>
    <t>Telefone</t>
  </si>
  <si>
    <t>MARKUP</t>
  </si>
  <si>
    <t>Manutenção</t>
  </si>
  <si>
    <t>PREÇO DE COMPRA</t>
  </si>
  <si>
    <t>Outros custos</t>
  </si>
  <si>
    <t>X</t>
  </si>
  <si>
    <t>TOTAL DESPESAS FIXAS</t>
  </si>
  <si>
    <t>Faturamento mensal -CAPACIDADE DE VENDAS</t>
  </si>
  <si>
    <t>LUCRO DESEJADO</t>
  </si>
  <si>
    <t xml:space="preserve">RATEIO DAS DESPESAS FIXAS </t>
  </si>
  <si>
    <t>DESPESAS DE COMERCIALIZAÇÃO</t>
  </si>
  <si>
    <t>Despesas Comercialização</t>
  </si>
  <si>
    <t>%</t>
  </si>
  <si>
    <t>TICKET MÉDIO</t>
  </si>
  <si>
    <t>receita operacional</t>
  </si>
  <si>
    <t>COMISSÕES/outros</t>
  </si>
  <si>
    <t>DAS - SIMPLES NACIONAL</t>
  </si>
  <si>
    <t>PONTO DE EQUILIBRIO</t>
  </si>
  <si>
    <t>(%) TOTAL DE DESPESAS DE COMERCIALIZAÇÃO</t>
  </si>
  <si>
    <t>FORNECEDORES</t>
  </si>
  <si>
    <t>(%) LUCRO DESEJADO</t>
  </si>
  <si>
    <t>(%) DESPESAS COMERC + LUCRO + RATEIO DAS DESPESAS FIXAS</t>
  </si>
  <si>
    <t>RECEITA OPERACIONAL</t>
  </si>
  <si>
    <t>VENDAS P DIA</t>
  </si>
  <si>
    <t>MARK-UP</t>
  </si>
  <si>
    <t>QUANTIDADE DE VENDAS</t>
  </si>
  <si>
    <t>PREÇO DA MERCADORIA</t>
  </si>
  <si>
    <t>SOMAM-SE OS PERCENTUAIS</t>
  </si>
  <si>
    <t>QUANTO FALTA PARA 100%</t>
  </si>
  <si>
    <t>DIVIDE 100 PELO RESULTADO</t>
  </si>
  <si>
    <t>OU</t>
  </si>
  <si>
    <t>SE O CUSTO DA MERCADORIA EQUIVALE A</t>
  </si>
  <si>
    <t>PELA REGRA DE 3</t>
  </si>
  <si>
    <t>ENTÃO X = 100 X PREÇO DE COMPRA/ PERCENTUAL DO TOTAL</t>
  </si>
  <si>
    <t>CONFIGURAÇÃO DE CUSTOS DA LOJA</t>
  </si>
  <si>
    <t>Indicador</t>
  </si>
  <si>
    <t>Percentual</t>
  </si>
  <si>
    <t>Nota descritiva</t>
  </si>
  <si>
    <t>Custos Fixos Proporcionais</t>
  </si>
  <si>
    <t>Aluguel, salários, pró-labore, luz, etc.</t>
  </si>
  <si>
    <t>Impostos sobre Faturamento</t>
  </si>
  <si>
    <t>Alíquota efetiva do Simples Nacional ou ICMS</t>
  </si>
  <si>
    <t>Comissão de Venda</t>
  </si>
  <si>
    <t>Percentual pago aos vendedores</t>
  </si>
  <si>
    <t>Taxas Financeiras (Cartão)</t>
  </si>
  <si>
    <t>Custo das maquininhas de cartão</t>
  </si>
  <si>
    <t>Margem de Lucro Desejada</t>
  </si>
  <si>
    <t>Retorno líquido esperado no caixa</t>
  </si>
  <si>
    <t>SIMULADOR FINANCEIRO POR ITEM</t>
  </si>
  <si>
    <t>Produto / Serviço</t>
  </si>
  <si>
    <t>Custo Nota (R$)</t>
  </si>
  <si>
    <t>Frete Entrada (R$)</t>
  </si>
  <si>
    <t>Custo Total Real (R$)</t>
  </si>
  <si>
    <t>Markup Calculado</t>
  </si>
  <si>
    <t>Preço Sugerido (R$)</t>
  </si>
  <si>
    <t>Preço Praticado (R$)</t>
  </si>
  <si>
    <t>Margem Líquida Real (%)</t>
  </si>
  <si>
    <t>Camiseta Slim Fit</t>
  </si>
  <si>
    <t>Calça Jeans Clássica</t>
  </si>
  <si>
    <t>Jaqueta de Couro</t>
  </si>
  <si>
    <t>Kit Meias (3 pares)</t>
  </si>
  <si>
    <t>Boné Aba Curva</t>
  </si>
  <si>
    <t>frete total</t>
  </si>
  <si>
    <t>faturamento</t>
  </si>
  <si>
    <t>fornecedores e frete</t>
  </si>
  <si>
    <t>imposto/comissão/taxas</t>
  </si>
  <si>
    <t>custos fixos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</si>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</sst>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\R\$#,##0.00"/>
    <numFmt numFmtId="166" formatCode="&quot;R$&quot;\ #,##0.00"/>
    <numFmt numFmtId="167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1F4E78"/>
      <name val="Calibri"/>
      <family val="2"/>
    </font>
    <font>
      <b/>
      <sz val="16"/>
      <color rgb="FFFFFFFF"/>
      <name val="Calibri"/>
      <family val="2"/>
    </font>
    <font>
      <sz val="16"/>
      <color theme="1"/>
      <name val="Calibri"/>
      <family val="2"/>
      <scheme val="minor"/>
    </font>
    <font>
      <sz val="16"/>
      <name val="Calibri"/>
      <family val="2"/>
    </font>
    <font>
      <b/>
      <sz val="16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rgb="FFFFF2CC"/>
      </patternFill>
    </fill>
  </fills>
  <borders count="6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/>
      <diagonal/>
    </border>
    <border>
      <left/>
      <right/>
      <top style="hair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167" fontId="3" fillId="4" borderId="2" xfId="0" applyNumberFormat="1" applyFont="1" applyFill="1" applyBorder="1"/>
    <xf numFmtId="10" fontId="4" fillId="0" borderId="0" xfId="0" applyNumberFormat="1" applyFont="1" applyAlignment="1">
      <alignment horizontal="center"/>
    </xf>
    <xf numFmtId="0" fontId="4" fillId="0" borderId="0" xfId="0" applyFont="1"/>
    <xf numFmtId="10" fontId="4" fillId="5" borderId="0" xfId="0" applyNumberFormat="1" applyFont="1" applyFill="1" applyAlignment="1">
      <alignment horizontal="center"/>
    </xf>
    <xf numFmtId="10" fontId="4" fillId="0" borderId="0" xfId="0" applyNumberFormat="1" applyFont="1"/>
    <xf numFmtId="44" fontId="3" fillId="4" borderId="2" xfId="1" applyFont="1" applyFill="1" applyBorder="1" applyProtection="1">
      <protection locked="0"/>
    </xf>
    <xf numFmtId="0" fontId="4" fillId="5" borderId="0" xfId="0" applyFont="1" applyFill="1"/>
    <xf numFmtId="0" fontId="7" fillId="6" borderId="0" xfId="0" applyFont="1" applyFill="1"/>
    <xf numFmtId="44" fontId="7" fillId="6" borderId="0" xfId="0" applyNumberFormat="1" applyFont="1" applyFill="1"/>
    <xf numFmtId="10" fontId="7" fillId="6" borderId="0" xfId="0" applyNumberFormat="1" applyFont="1" applyFill="1"/>
    <xf numFmtId="167" fontId="7" fillId="6" borderId="0" xfId="0" applyNumberFormat="1" applyFont="1" applyFill="1"/>
    <xf numFmtId="0" fontId="4" fillId="7" borderId="0" xfId="0" applyFont="1" applyFill="1"/>
    <xf numFmtId="0" fontId="4" fillId="8" borderId="0" xfId="0" applyFont="1" applyFill="1"/>
    <xf numFmtId="167" fontId="4" fillId="8" borderId="0" xfId="0" applyNumberFormat="1" applyFont="1" applyFill="1"/>
    <xf numFmtId="10" fontId="4" fillId="8" borderId="0" xfId="0" applyNumberFormat="1" applyFont="1" applyFill="1"/>
    <xf numFmtId="0" fontId="4" fillId="8" borderId="0" xfId="0" applyFont="1" applyFill="1" applyAlignment="1">
      <alignment horizontal="right"/>
    </xf>
    <xf numFmtId="44" fontId="5" fillId="5" borderId="2" xfId="1" applyFont="1" applyFill="1" applyBorder="1" applyAlignment="1" applyProtection="1"/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44" fontId="3" fillId="4" borderId="5" xfId="1" applyFont="1" applyFill="1" applyBorder="1" applyAlignment="1" applyProtection="1">
      <alignment vertical="center"/>
      <protection locked="0"/>
    </xf>
    <xf numFmtId="43" fontId="4" fillId="8" borderId="0" xfId="0" applyNumberFormat="1" applyFont="1" applyFill="1"/>
    <xf numFmtId="0" fontId="5" fillId="5" borderId="2" xfId="3" applyFont="1" applyFill="1" applyBorder="1" applyAlignment="1">
      <alignment horizontal="left" vertical="center"/>
    </xf>
    <xf numFmtId="0" fontId="5" fillId="5" borderId="2" xfId="3" applyFont="1" applyFill="1" applyBorder="1" applyAlignment="1">
      <alignment horizontal="center" vertical="center"/>
    </xf>
    <xf numFmtId="10" fontId="3" fillId="5" borderId="2" xfId="4" applyNumberFormat="1" applyFont="1" applyFill="1" applyBorder="1" applyAlignment="1" applyProtection="1">
      <alignment horizontal="center" vertical="center"/>
    </xf>
    <xf numFmtId="0" fontId="5" fillId="8" borderId="2" xfId="3" applyFont="1" applyFill="1" applyBorder="1" applyAlignment="1">
      <alignment horizontal="left"/>
    </xf>
    <xf numFmtId="0" fontId="5" fillId="8" borderId="2" xfId="3" applyFont="1" applyFill="1" applyBorder="1" applyAlignment="1">
      <alignment horizontal="center"/>
    </xf>
    <xf numFmtId="43" fontId="3" fillId="8" borderId="4" xfId="4" applyFont="1" applyFill="1" applyBorder="1" applyAlignment="1" applyProtection="1">
      <alignment horizontal="center" vertical="center"/>
      <protection locked="0"/>
    </xf>
    <xf numFmtId="10" fontId="4" fillId="8" borderId="0" xfId="0" applyNumberFormat="1" applyFont="1" applyFill="1" applyAlignment="1">
      <alignment horizontal="center"/>
    </xf>
    <xf numFmtId="43" fontId="3" fillId="8" borderId="0" xfId="4" applyFont="1" applyFill="1" applyBorder="1" applyAlignment="1" applyProtection="1">
      <alignment horizontal="center" vertical="center"/>
      <protection locked="0"/>
    </xf>
    <xf numFmtId="166" fontId="4" fillId="4" borderId="0" xfId="0" applyNumberFormat="1" applyFont="1" applyFill="1"/>
    <xf numFmtId="0" fontId="5" fillId="8" borderId="2" xfId="3" applyFont="1" applyFill="1" applyBorder="1" applyAlignment="1" applyProtection="1">
      <alignment vertical="center"/>
      <protection locked="0"/>
    </xf>
    <xf numFmtId="10" fontId="5" fillId="4" borderId="2" xfId="2" applyNumberFormat="1" applyFont="1" applyFill="1" applyBorder="1" applyAlignment="1" applyProtection="1">
      <alignment horizontal="right"/>
      <protection locked="0"/>
    </xf>
    <xf numFmtId="0" fontId="5" fillId="8" borderId="0" xfId="3" applyFont="1" applyFill="1" applyAlignment="1">
      <alignment horizontal="center" vertical="center" wrapText="1"/>
    </xf>
    <xf numFmtId="44" fontId="4" fillId="7" borderId="0" xfId="0" applyNumberFormat="1" applyFont="1" applyFill="1"/>
    <xf numFmtId="10" fontId="5" fillId="9" borderId="2" xfId="4" applyNumberFormat="1" applyFont="1" applyFill="1" applyBorder="1" applyAlignment="1" applyProtection="1">
      <alignment horizontal="right" vertical="center"/>
    </xf>
    <xf numFmtId="10" fontId="4" fillId="9" borderId="0" xfId="0" applyNumberFormat="1" applyFont="1" applyFill="1" applyAlignment="1">
      <alignment horizontal="center"/>
    </xf>
    <xf numFmtId="44" fontId="4" fillId="0" borderId="0" xfId="0" applyNumberFormat="1" applyFont="1"/>
    <xf numFmtId="10" fontId="5" fillId="4" borderId="2" xfId="4" applyNumberFormat="1" applyFont="1" applyFill="1" applyBorder="1" applyAlignment="1" applyProtection="1">
      <alignment horizontal="right" vertical="center"/>
      <protection locked="0"/>
    </xf>
    <xf numFmtId="44" fontId="8" fillId="10" borderId="0" xfId="0" applyNumberFormat="1" applyFont="1" applyFill="1" applyAlignment="1">
      <alignment horizontal="center" wrapText="1"/>
    </xf>
    <xf numFmtId="0" fontId="7" fillId="11" borderId="0" xfId="0" applyFont="1" applyFill="1" applyAlignment="1">
      <alignment horizontal="center" wrapText="1"/>
    </xf>
    <xf numFmtId="0" fontId="7" fillId="10" borderId="0" xfId="0" applyFont="1" applyFill="1" applyAlignment="1">
      <alignment horizontal="center" wrapText="1"/>
    </xf>
    <xf numFmtId="10" fontId="3" fillId="9" borderId="2" xfId="2" applyNumberFormat="1" applyFont="1" applyFill="1" applyBorder="1" applyAlignment="1" applyProtection="1">
      <alignment horizontal="right" vertical="center"/>
    </xf>
    <xf numFmtId="10" fontId="7" fillId="9" borderId="0" xfId="0" applyNumberFormat="1" applyFont="1" applyFill="1" applyAlignment="1">
      <alignment horizontal="center"/>
    </xf>
    <xf numFmtId="44" fontId="9" fillId="12" borderId="2" xfId="1" applyFont="1" applyFill="1" applyBorder="1" applyAlignment="1" applyProtection="1">
      <alignment horizontal="center" vertical="center"/>
    </xf>
    <xf numFmtId="2" fontId="9" fillId="1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0" fillId="0" borderId="0" xfId="0" applyFont="1"/>
    <xf numFmtId="10" fontId="10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2" fillId="0" borderId="0" xfId="0" applyFont="1"/>
    <xf numFmtId="10" fontId="12" fillId="0" borderId="0" xfId="0" applyNumberFormat="1" applyFont="1"/>
    <xf numFmtId="0" fontId="2" fillId="0" borderId="0" xfId="0" applyFont="1"/>
    <xf numFmtId="10" fontId="11" fillId="0" borderId="0" xfId="0" applyNumberFormat="1" applyFont="1"/>
    <xf numFmtId="0" fontId="11" fillId="0" borderId="0" xfId="0" applyFont="1" applyAlignment="1">
      <alignment horizontal="center"/>
    </xf>
    <xf numFmtId="0" fontId="13" fillId="0" borderId="0" xfId="0" applyFont="1"/>
    <xf numFmtId="0" fontId="14" fillId="2" borderId="0" xfId="0" applyFont="1" applyFill="1"/>
    <xf numFmtId="0" fontId="15" fillId="0" borderId="0" xfId="0" applyFont="1"/>
    <xf numFmtId="0" fontId="16" fillId="0" borderId="1" xfId="0" applyFont="1" applyBorder="1"/>
    <xf numFmtId="164" fontId="15" fillId="0" borderId="0" xfId="0" applyNumberFormat="1" applyFont="1"/>
    <xf numFmtId="0" fontId="14" fillId="2" borderId="0" xfId="0" applyFont="1" applyFill="1" applyAlignment="1">
      <alignment horizontal="center" vertical="center" wrapText="1"/>
    </xf>
    <xf numFmtId="165" fontId="16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5" fontId="15" fillId="0" borderId="0" xfId="0" applyNumberFormat="1" applyFont="1"/>
    <xf numFmtId="10" fontId="15" fillId="0" borderId="0" xfId="0" applyNumberFormat="1" applyFont="1"/>
    <xf numFmtId="166" fontId="15" fillId="0" borderId="0" xfId="0" applyNumberFormat="1" applyFont="1"/>
    <xf numFmtId="2" fontId="15" fillId="0" borderId="0" xfId="0" applyNumberFormat="1" applyFont="1"/>
    <xf numFmtId="2" fontId="16" fillId="0" borderId="1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65" fontId="16" fillId="13" borderId="1" xfId="0" applyNumberFormat="1" applyFont="1" applyFill="1" applyBorder="1" applyAlignment="1">
      <alignment horizontal="right"/>
    </xf>
    <xf numFmtId="164" fontId="17" fillId="13" borderId="0" xfId="0" applyNumberFormat="1" applyFont="1" applyFill="1"/>
    <xf numFmtId="164" fontId="17" fillId="14" borderId="1" xfId="0" applyNumberFormat="1" applyFont="1" applyFill="1" applyBorder="1"/>
    <xf numFmtId="0" fontId="16" fillId="14" borderId="1" xfId="0" applyFont="1" applyFill="1" applyBorder="1"/>
    <xf numFmtId="165" fontId="16" fillId="14" borderId="1" xfId="0" applyNumberFormat="1" applyFont="1" applyFill="1" applyBorder="1" applyAlignment="1">
      <alignment horizontal="right"/>
    </xf>
    <xf numFmtId="166" fontId="15" fillId="4" borderId="0" xfId="0" applyNumberFormat="1" applyFont="1" applyFill="1"/>
    <xf numFmtId="1" fontId="4" fillId="7" borderId="0" xfId="0" applyNumberFormat="1" applyFont="1" applyFill="1"/>
    <xf numFmtId="1" fontId="7" fillId="11" borderId="0" xfId="0" applyNumberFormat="1" applyFont="1" applyFill="1" applyAlignment="1">
      <alignment horizontal="center"/>
    </xf>
    <xf numFmtId="0" fontId="9" fillId="12" borderId="2" xfId="3" applyFont="1" applyFill="1" applyBorder="1" applyAlignment="1">
      <alignment vertical="center"/>
    </xf>
    <xf numFmtId="0" fontId="5" fillId="5" borderId="2" xfId="3" applyFont="1" applyFill="1" applyBorder="1" applyAlignment="1" applyProtection="1">
      <alignment horizontal="left" vertical="center"/>
      <protection locked="0"/>
    </xf>
    <xf numFmtId="0" fontId="5" fillId="5" borderId="2" xfId="3" applyFont="1" applyFill="1" applyBorder="1" applyAlignment="1">
      <alignment horizontal="left"/>
    </xf>
    <xf numFmtId="0" fontId="5" fillId="9" borderId="2" xfId="3" applyFont="1" applyFill="1" applyBorder="1" applyAlignment="1">
      <alignment vertical="center"/>
    </xf>
    <xf numFmtId="0" fontId="3" fillId="3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9" borderId="2" xfId="3" applyFont="1" applyFill="1" applyBorder="1" applyAlignment="1"/>
  </cellXfs>
  <cellStyles count="5">
    <cellStyle name="Moeda" xfId="1" builtinId="4"/>
    <cellStyle name="Normal" xfId="0" builtinId="0"/>
    <cellStyle name="Normal 2" xfId="3" xr:uid="{3BD5474C-3A96-4D6C-B881-EF6FF7CBAE2E}"/>
    <cellStyle name="Porcentagem" xfId="2" builtinId="5"/>
    <cellStyle name="Separador de milhares 2" xfId="4" xr:uid="{7B0D75D7-FF79-4DFD-9FEA-929D2A80075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83820</xdr:rowOff>
    </xdr:from>
    <xdr:to>
      <xdr:col>5</xdr:col>
      <xdr:colOff>1016369</xdr:colOff>
      <xdr:row>2</xdr:row>
      <xdr:rowOff>112395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12127D-9576-4977-9FC0-C105A6A5B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3480" y="83820"/>
          <a:ext cx="711569" cy="379095"/>
        </a:xfrm>
        <a:prstGeom prst="rect">
          <a:avLst/>
        </a:prstGeom>
      </xdr:spPr>
    </xdr:pic>
    <xdr:clientData/>
  </xdr:twoCellAnchor>
  <xdr:twoCellAnchor editAs="oneCell">
    <xdr:from>
      <xdr:col>4</xdr:col>
      <xdr:colOff>693420</xdr:colOff>
      <xdr:row>0</xdr:row>
      <xdr:rowOff>76200</xdr:rowOff>
    </xdr:from>
    <xdr:to>
      <xdr:col>4</xdr:col>
      <xdr:colOff>1684020</xdr:colOff>
      <xdr:row>2</xdr:row>
      <xdr:rowOff>137160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795D7EA-BEE9-4B6C-A03D-2D99C09C3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3780" y="76200"/>
          <a:ext cx="990600" cy="41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4</xdr:col>
      <xdr:colOff>381000</xdr:colOff>
      <xdr:row>3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11C529-5402-4C2D-9109-B0775FF16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594360"/>
          <a:ext cx="990600" cy="411480"/>
        </a:xfrm>
        <a:prstGeom prst="rect">
          <a:avLst/>
        </a:prstGeom>
      </xdr:spPr>
    </xdr:pic>
    <xdr:clientData/>
  </xdr:twoCellAnchor>
  <xdr:twoCellAnchor editAs="oneCell">
    <xdr:from>
      <xdr:col>3</xdr:col>
      <xdr:colOff>129540</xdr:colOff>
      <xdr:row>0</xdr:row>
      <xdr:rowOff>68580</xdr:rowOff>
    </xdr:from>
    <xdr:to>
      <xdr:col>4</xdr:col>
      <xdr:colOff>231509</xdr:colOff>
      <xdr:row>1</xdr:row>
      <xdr:rowOff>150495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25163D7-5533-4B22-8BD9-B2C627B9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1040" y="68580"/>
          <a:ext cx="711569" cy="3790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1844040</xdr:colOff>
      <xdr:row>13</xdr:row>
      <xdr:rowOff>15240</xdr:rowOff>
    </xdr:from>
    <xdr:to>
      <xdr:col>0</xdr:col>
      <xdr:colOff>2767965</xdr:colOff>
      <xdr:row>15</xdr:row>
      <xdr:rowOff>60960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EC17DA-6FF3-40A9-8C87-4783EDD92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040" y="3345180"/>
          <a:ext cx="990600" cy="411480"/>
        </a:xfrm>
        <a:prstGeom prst="rect">
          <a:avLst/>
        </a:prstGeom>
      </xdr:spPr>
    </xdr:pic>
    <xdr:clientData/>
  </xdr:twoCellAnchor>
  <xdr:twoCellAnchor editAs="oneCell">
    <xdr:from>
      <xdr:col>1</xdr:col>
      <xdr:colOff>243840</xdr:colOff>
      <xdr:row>13</xdr:row>
      <xdr:rowOff>30480</xdr:rowOff>
    </xdr:from>
    <xdr:to>
      <xdr:col>2</xdr:col>
      <xdr:colOff>2909</xdr:colOff>
      <xdr:row>15</xdr:row>
      <xdr:rowOff>43815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45C5E5-8CF9-48BB-A097-88D39F49C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3720" y="3360420"/>
          <a:ext cx="711569" cy="3790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13</xdr:row>
      <xdr:rowOff>53340</xdr:rowOff>
    </xdr:from>
    <xdr:to>
      <xdr:col>1</xdr:col>
      <xdr:colOff>1150620</xdr:colOff>
      <xdr:row>14</xdr:row>
      <xdr:rowOff>198120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E86F1B-653A-414A-8AAB-0039B8402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4000500"/>
          <a:ext cx="990600" cy="411480"/>
        </a:xfrm>
        <a:prstGeom prst="rect">
          <a:avLst/>
        </a:prstGeom>
      </xdr:spPr>
    </xdr:pic>
    <xdr:clientData/>
  </xdr:twoCellAnchor>
  <xdr:twoCellAnchor editAs="oneCell">
    <xdr:from>
      <xdr:col>2</xdr:col>
      <xdr:colOff>259080</xdr:colOff>
      <xdr:row>13</xdr:row>
      <xdr:rowOff>106680</xdr:rowOff>
    </xdr:from>
    <xdr:to>
      <xdr:col>2</xdr:col>
      <xdr:colOff>970649</xdr:colOff>
      <xdr:row>14</xdr:row>
      <xdr:rowOff>219075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61A01E3-C00C-41C6-8AE1-9A7D63E0E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8020" y="4053840"/>
          <a:ext cx="711569" cy="379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D893-F7D3-45D1-B2C5-A6412B4FFD2E}">
  <dimension ref="A1:H24"/>
  <sheetViews>
    <sheetView topLeftCell="A7" zoomScale="120" zoomScaleNormal="120" workbookViewId="0">
      <selection activeCell="C8" sqref="C8"/>
    </sheetView>
  </sheetViews>
  <sheetFormatPr defaultColWidth="9.140625" defaultRowHeight="13.9"/>
  <cols>
    <col min="1" max="1" width="24.5703125" style="46" bestFit="1" customWidth="1"/>
    <col min="2" max="2" width="24.7109375" style="46" customWidth="1"/>
    <col min="3" max="3" width="18.7109375" style="46" customWidth="1"/>
    <col min="4" max="4" width="29.7109375" style="47" customWidth="1"/>
    <col min="5" max="5" width="26.28515625" style="48" bestFit="1" customWidth="1"/>
    <col min="6" max="6" width="25.85546875" style="48" customWidth="1"/>
    <col min="7" max="7" width="18.42578125" style="49" customWidth="1"/>
    <col min="8" max="8" width="11.140625" style="48" bestFit="1" customWidth="1"/>
    <col min="9" max="16384" width="9.140625" style="48"/>
  </cols>
  <sheetData>
    <row r="1" spans="1:8" s="3" customFormat="1">
      <c r="A1" s="83" t="s">
        <v>0</v>
      </c>
      <c r="B1" s="83"/>
      <c r="C1" s="1">
        <f>'simulador de produtos'!D4</f>
        <v>26.315789473684209</v>
      </c>
      <c r="D1" s="2">
        <f>C1/C24</f>
        <v>0.49345679012345678</v>
      </c>
    </row>
    <row r="2" spans="1:8" s="3" customFormat="1">
      <c r="A2" s="84" t="s">
        <v>1</v>
      </c>
      <c r="B2" s="84"/>
      <c r="C2" s="84"/>
      <c r="D2" s="4"/>
      <c r="G2" s="5"/>
    </row>
    <row r="3" spans="1:8" s="3" customFormat="1">
      <c r="A3" s="80" t="s">
        <v>2</v>
      </c>
      <c r="B3" s="80"/>
      <c r="C3" s="6">
        <v>1500</v>
      </c>
      <c r="D3" s="7"/>
    </row>
    <row r="4" spans="1:8" s="3" customFormat="1">
      <c r="A4" s="80" t="s">
        <v>3</v>
      </c>
      <c r="B4" s="80"/>
      <c r="C4" s="6">
        <v>100</v>
      </c>
      <c r="D4" s="7"/>
      <c r="E4" s="8" t="s">
        <v>4</v>
      </c>
      <c r="F4" s="9">
        <f>C24</f>
        <v>53.329470787300998</v>
      </c>
      <c r="G4" s="10">
        <f>F4/$C$24</f>
        <v>1</v>
      </c>
    </row>
    <row r="5" spans="1:8" s="3" customFormat="1">
      <c r="A5" s="80" t="s">
        <v>5</v>
      </c>
      <c r="B5" s="80"/>
      <c r="C5" s="6">
        <v>600</v>
      </c>
      <c r="D5" s="7"/>
      <c r="E5" s="8" t="s">
        <v>6</v>
      </c>
      <c r="F5" s="11">
        <f>C1</f>
        <v>26.315789473684209</v>
      </c>
      <c r="G5" s="10">
        <f>F5/$C$24</f>
        <v>0.49345679012345678</v>
      </c>
    </row>
    <row r="6" spans="1:8" s="3" customFormat="1">
      <c r="A6" s="80" t="s">
        <v>7</v>
      </c>
      <c r="B6" s="80"/>
      <c r="C6" s="6">
        <v>100</v>
      </c>
      <c r="D6" s="7"/>
      <c r="E6" s="8" t="s">
        <v>1</v>
      </c>
      <c r="F6" s="9">
        <f>C24*C15</f>
        <v>9.4149559538074605</v>
      </c>
      <c r="G6" s="10">
        <f>F6/$C$24</f>
        <v>0.17654320987654321</v>
      </c>
    </row>
    <row r="7" spans="1:8" s="3" customFormat="1">
      <c r="A7" s="80" t="s">
        <v>8</v>
      </c>
      <c r="B7" s="80"/>
      <c r="C7" s="6">
        <v>0</v>
      </c>
      <c r="D7" s="7"/>
      <c r="E7" s="8" t="s">
        <v>9</v>
      </c>
      <c r="F7" s="9">
        <f>C20*C24</f>
        <v>6.9328312023491296</v>
      </c>
      <c r="G7" s="10">
        <f>F7/$C$24</f>
        <v>0.13</v>
      </c>
    </row>
    <row r="8" spans="1:8" s="3" customFormat="1">
      <c r="A8" s="80" t="s">
        <v>10</v>
      </c>
      <c r="B8" s="80"/>
      <c r="C8" s="6">
        <v>60</v>
      </c>
      <c r="D8" s="7"/>
      <c r="E8" s="8" t="s">
        <v>11</v>
      </c>
      <c r="F8" s="9">
        <f>C21*C24</f>
        <v>10.665894157460201</v>
      </c>
      <c r="G8" s="10">
        <f>F8/$C$24</f>
        <v>0.20000000000000004</v>
      </c>
    </row>
    <row r="9" spans="1:8" s="3" customFormat="1">
      <c r="A9" s="80" t="s">
        <v>12</v>
      </c>
      <c r="B9" s="80"/>
      <c r="C9" s="6">
        <v>90</v>
      </c>
      <c r="D9" s="7"/>
    </row>
    <row r="10" spans="1:8" s="3" customFormat="1">
      <c r="A10" s="80" t="s">
        <v>13</v>
      </c>
      <c r="B10" s="80"/>
      <c r="C10" s="6">
        <v>80</v>
      </c>
      <c r="D10" s="7"/>
      <c r="E10" s="12" t="s">
        <v>14</v>
      </c>
      <c r="F10" s="13"/>
      <c r="G10" s="13"/>
      <c r="H10" s="13"/>
    </row>
    <row r="11" spans="1:8" s="3" customFormat="1">
      <c r="A11" s="80" t="s">
        <v>15</v>
      </c>
      <c r="B11" s="80"/>
      <c r="C11" s="6">
        <v>40</v>
      </c>
      <c r="D11" s="7"/>
      <c r="E11" s="13" t="s">
        <v>16</v>
      </c>
      <c r="F11" s="14"/>
      <c r="G11" s="14">
        <f>C1</f>
        <v>26.315789473684209</v>
      </c>
      <c r="H11" s="15">
        <f>1-F15</f>
        <v>0.49345679012345678</v>
      </c>
    </row>
    <row r="12" spans="1:8" s="3" customFormat="1">
      <c r="A12" s="80" t="s">
        <v>17</v>
      </c>
      <c r="B12" s="80"/>
      <c r="C12" s="6">
        <v>290</v>
      </c>
      <c r="D12" s="7"/>
      <c r="E12" s="13" t="s">
        <v>1</v>
      </c>
      <c r="F12" s="15">
        <f>C15</f>
        <v>0.17654320987654321</v>
      </c>
      <c r="G12" s="16" t="s">
        <v>18</v>
      </c>
      <c r="H12" s="15">
        <v>1</v>
      </c>
    </row>
    <row r="13" spans="1:8" s="3" customFormat="1">
      <c r="A13" s="81" t="s">
        <v>19</v>
      </c>
      <c r="B13" s="81"/>
      <c r="C13" s="17">
        <f>SUM(C3:C12)</f>
        <v>2860</v>
      </c>
      <c r="D13" s="7"/>
      <c r="E13" s="13" t="s">
        <v>9</v>
      </c>
      <c r="F13" s="15">
        <f>C20</f>
        <v>0.13</v>
      </c>
      <c r="G13" s="13"/>
      <c r="H13" s="13"/>
    </row>
    <row r="14" spans="1:8" s="3" customFormat="1">
      <c r="A14" s="18" t="s">
        <v>20</v>
      </c>
      <c r="B14" s="19"/>
      <c r="C14" s="20">
        <v>16200</v>
      </c>
      <c r="D14" s="7"/>
      <c r="E14" s="13" t="s">
        <v>21</v>
      </c>
      <c r="F14" s="15">
        <f>C21</f>
        <v>0.2</v>
      </c>
      <c r="G14" s="13"/>
      <c r="H14" s="21">
        <f>G11*H12/H11</f>
        <v>53.329470787300998</v>
      </c>
    </row>
    <row r="15" spans="1:8" s="3" customFormat="1">
      <c r="A15" s="22" t="s">
        <v>22</v>
      </c>
      <c r="B15" s="23"/>
      <c r="C15" s="24">
        <f>IF(C14=0,0,C13/C14)</f>
        <v>0.17654320987654321</v>
      </c>
      <c r="D15" s="4">
        <f>C15</f>
        <v>0.17654320987654321</v>
      </c>
      <c r="E15" s="13"/>
      <c r="F15" s="15">
        <f>SUM(F12:F14)</f>
        <v>0.50654320987654322</v>
      </c>
      <c r="G15" s="13"/>
      <c r="H15" s="13"/>
    </row>
    <row r="16" spans="1:8" s="3" customFormat="1">
      <c r="A16" s="25" t="s">
        <v>23</v>
      </c>
      <c r="B16" s="26"/>
      <c r="C16" s="27"/>
      <c r="D16" s="28"/>
    </row>
    <row r="17" spans="1:8" s="3" customFormat="1">
      <c r="A17" s="25" t="s">
        <v>24</v>
      </c>
      <c r="B17" s="26" t="s">
        <v>25</v>
      </c>
      <c r="C17" s="29"/>
      <c r="D17" s="28"/>
      <c r="E17" s="3" t="s">
        <v>26</v>
      </c>
      <c r="F17" s="30">
        <f>F4</f>
        <v>53.329470787300998</v>
      </c>
      <c r="G17" s="3" t="s">
        <v>27</v>
      </c>
      <c r="H17" s="5">
        <f>G4-G5-G7</f>
        <v>0.37654320987654322</v>
      </c>
    </row>
    <row r="18" spans="1:8" s="3" customFormat="1">
      <c r="A18" s="31" t="s">
        <v>28</v>
      </c>
      <c r="B18" s="32">
        <v>0.05</v>
      </c>
      <c r="C18" s="33"/>
      <c r="D18" s="28"/>
    </row>
    <row r="19" spans="1:8" s="3" customFormat="1">
      <c r="A19" s="31" t="s">
        <v>29</v>
      </c>
      <c r="B19" s="32">
        <v>0.08</v>
      </c>
      <c r="C19" s="29"/>
      <c r="D19" s="28"/>
      <c r="E19" s="12" t="s">
        <v>30</v>
      </c>
      <c r="F19" s="34">
        <f>C13/H17</f>
        <v>7595.4098360655735</v>
      </c>
    </row>
    <row r="20" spans="1:8" s="3" customFormat="1">
      <c r="A20" s="82" t="s">
        <v>31</v>
      </c>
      <c r="B20" s="82"/>
      <c r="C20" s="35">
        <f>SUM(B18:B19)</f>
        <v>0.13</v>
      </c>
      <c r="D20" s="36"/>
      <c r="E20" s="3" t="s">
        <v>32</v>
      </c>
      <c r="F20" s="37">
        <f>F19*D1</f>
        <v>3748.0065573770489</v>
      </c>
    </row>
    <row r="21" spans="1:8" s="3" customFormat="1">
      <c r="A21" s="82" t="s">
        <v>33</v>
      </c>
      <c r="B21" s="82"/>
      <c r="C21" s="38">
        <v>0.2</v>
      </c>
      <c r="D21" s="36"/>
      <c r="E21" s="3" t="s">
        <v>9</v>
      </c>
      <c r="F21" s="37">
        <f>F19*C20</f>
        <v>987.40327868852455</v>
      </c>
      <c r="G21" s="5"/>
    </row>
    <row r="22" spans="1:8" s="3" customFormat="1">
      <c r="A22" s="82" t="s">
        <v>34</v>
      </c>
      <c r="B22" s="82"/>
      <c r="C22" s="35">
        <f>SUM(C20:C21)+C15</f>
        <v>0.50654320987654322</v>
      </c>
      <c r="D22" s="36"/>
      <c r="E22" s="3" t="s">
        <v>35</v>
      </c>
      <c r="F22" s="39">
        <f>F19-F20-F21</f>
        <v>2860</v>
      </c>
      <c r="G22" s="40" t="s">
        <v>36</v>
      </c>
      <c r="H22" s="41"/>
    </row>
    <row r="23" spans="1:8" s="3" customFormat="1">
      <c r="A23" s="86" t="s">
        <v>37</v>
      </c>
      <c r="B23" s="86"/>
      <c r="C23" s="42">
        <f>100%-(C22)</f>
        <v>0.49345679012345678</v>
      </c>
      <c r="D23" s="43" t="s">
        <v>14</v>
      </c>
      <c r="E23" s="12" t="s">
        <v>38</v>
      </c>
      <c r="F23" s="77">
        <f>F19/F17</f>
        <v>142.42424918032788</v>
      </c>
      <c r="G23" s="78">
        <f>F23/22</f>
        <v>6.4738295081967214</v>
      </c>
    </row>
    <row r="24" spans="1:8" s="3" customFormat="1" ht="21">
      <c r="A24" s="79" t="s">
        <v>39</v>
      </c>
      <c r="B24" s="79"/>
      <c r="C24" s="44">
        <f>C1/C23</f>
        <v>53.329470787300998</v>
      </c>
      <c r="D24" s="45">
        <f>C24/C1</f>
        <v>2.0265198899174379</v>
      </c>
      <c r="G24" s="5"/>
    </row>
  </sheetData>
  <mergeCells count="18">
    <mergeCell ref="A6:B6"/>
    <mergeCell ref="A1:B1"/>
    <mergeCell ref="A2:C2"/>
    <mergeCell ref="A3:B3"/>
    <mergeCell ref="A4:B4"/>
    <mergeCell ref="A5:B5"/>
    <mergeCell ref="A24:B24"/>
    <mergeCell ref="A7:B7"/>
    <mergeCell ref="A8:B8"/>
    <mergeCell ref="A9:B9"/>
    <mergeCell ref="A10:B10"/>
    <mergeCell ref="A11:B11"/>
    <mergeCell ref="A12:B12"/>
    <mergeCell ref="A13:B13"/>
    <mergeCell ref="A20:B20"/>
    <mergeCell ref="A21:B21"/>
    <mergeCell ref="A22:B22"/>
    <mergeCell ref="A23:B23"/>
  </mergeCells>
  <pageMargins left="0.511811024" right="0.511811024" top="0.78740157499999996" bottom="0.78740157499999996" header="0.31496062000000002" footer="0.31496062000000002"/>
  <headerFooter>
    <oddHeader>&amp;L&amp;"Aptos"&amp;12&amp;KFF0000 Confidencial&amp;1#_x000D_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4B335-BA98-4BE6-B9AE-531FA49DC2EB}">
  <dimension ref="A1:C15"/>
  <sheetViews>
    <sheetView workbookViewId="0">
      <selection activeCell="B14" sqref="B14"/>
    </sheetView>
  </sheetViews>
  <sheetFormatPr defaultRowHeight="14.45"/>
  <cols>
    <col min="1" max="1" width="86.7109375" bestFit="1" customWidth="1"/>
    <col min="2" max="2" width="19.7109375" bestFit="1" customWidth="1"/>
    <col min="3" max="3" width="16.140625" bestFit="1" customWidth="1"/>
  </cols>
  <sheetData>
    <row r="1" spans="1:3" ht="23.45">
      <c r="A1" s="50" t="str">
        <f>MARKUP!A1</f>
        <v xml:space="preserve">CUSTO DA MERCADORIA </v>
      </c>
      <c r="B1" s="51">
        <f>MARKUP!C1</f>
        <v>26.315789473684209</v>
      </c>
      <c r="C1" s="50"/>
    </row>
    <row r="2" spans="1:3" s="54" customFormat="1" ht="23.45">
      <c r="A2" s="52" t="str">
        <f>MARKUP!A15</f>
        <v xml:space="preserve">RATEIO DAS DESPESAS FIXAS </v>
      </c>
      <c r="B2" s="53">
        <f>MARKUP!C15</f>
        <v>0.17654320987654321</v>
      </c>
      <c r="C2" s="52"/>
    </row>
    <row r="3" spans="1:3" ht="23.45">
      <c r="A3" s="50" t="str">
        <f>MARKUP!A20</f>
        <v>(%) TOTAL DE DESPESAS DE COMERCIALIZAÇÃO</v>
      </c>
      <c r="B3" s="55">
        <f>MARKUP!C20</f>
        <v>0.13</v>
      </c>
      <c r="C3" s="50"/>
    </row>
    <row r="4" spans="1:3" ht="23.45">
      <c r="A4" s="50" t="str">
        <f>MARKUP!A21</f>
        <v>(%) LUCRO DESEJADO</v>
      </c>
      <c r="B4" s="55">
        <f>MARKUP!C21</f>
        <v>0.2</v>
      </c>
      <c r="C4" s="50"/>
    </row>
    <row r="5" spans="1:3" ht="23.45">
      <c r="A5" s="50"/>
      <c r="B5" s="50"/>
      <c r="C5" s="50"/>
    </row>
    <row r="6" spans="1:3" ht="23.45">
      <c r="A6" s="50" t="s">
        <v>40</v>
      </c>
      <c r="B6" s="55">
        <f>B2+B3+B4</f>
        <v>0.50654320987654322</v>
      </c>
      <c r="C6" s="50"/>
    </row>
    <row r="7" spans="1:3" ht="23.45">
      <c r="A7" s="50" t="s">
        <v>41</v>
      </c>
      <c r="B7" s="55">
        <f>1-B6</f>
        <v>0.49345679012345678</v>
      </c>
      <c r="C7" s="50"/>
    </row>
    <row r="8" spans="1:3" ht="23.45">
      <c r="A8" s="50" t="s">
        <v>42</v>
      </c>
      <c r="B8" s="50">
        <f>1/B7</f>
        <v>2.0265198899174379</v>
      </c>
      <c r="C8" s="50"/>
    </row>
    <row r="9" spans="1:3" ht="23.45">
      <c r="A9" s="50"/>
      <c r="B9" s="50"/>
      <c r="C9" s="50"/>
    </row>
    <row r="10" spans="1:3" ht="23.45">
      <c r="A10" s="56" t="s">
        <v>43</v>
      </c>
      <c r="B10" s="50"/>
      <c r="C10" s="50"/>
    </row>
    <row r="11" spans="1:3" ht="23.45">
      <c r="A11" s="50" t="s">
        <v>44</v>
      </c>
      <c r="B11" s="51">
        <f>B1</f>
        <v>26.315789473684209</v>
      </c>
      <c r="C11" s="55">
        <f>B7</f>
        <v>0.49345679012345678</v>
      </c>
    </row>
    <row r="12" spans="1:3" ht="23.45">
      <c r="A12" s="50" t="s">
        <v>45</v>
      </c>
      <c r="B12" s="55" t="s">
        <v>18</v>
      </c>
      <c r="C12" s="70">
        <v>1</v>
      </c>
    </row>
    <row r="13" spans="1:3" ht="23.45">
      <c r="A13" s="50"/>
      <c r="B13" s="50"/>
      <c r="C13" s="50"/>
    </row>
    <row r="14" spans="1:3" ht="23.45">
      <c r="A14" s="50" t="s">
        <v>46</v>
      </c>
      <c r="B14" s="51">
        <f>B11*C12/C11</f>
        <v>53.329470787300998</v>
      </c>
      <c r="C14" s="50"/>
    </row>
    <row r="15" spans="1:3" ht="23.45">
      <c r="A15" s="50"/>
      <c r="B15" s="50"/>
      <c r="C15" s="50"/>
    </row>
  </sheetData>
  <pageMargins left="0.511811024" right="0.511811024" top="0.78740157499999996" bottom="0.78740157499999996" header="0.31496062000000002" footer="0.31496062000000002"/>
  <headerFooter>
    <oddHeader>&amp;L&amp;"Aptos"&amp;12&amp;KFF0000 Confidencial&amp;1#_x000D_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B12" sqref="B12"/>
    </sheetView>
  </sheetViews>
  <sheetFormatPr defaultRowHeight="14.45"/>
  <cols>
    <col min="1" max="1" width="41.5703125" bestFit="1" customWidth="1"/>
    <col min="2" max="2" width="14" customWidth="1"/>
    <col min="3" max="3" width="45" customWidth="1"/>
  </cols>
  <sheetData>
    <row r="1" spans="1:4" ht="23.45">
      <c r="A1" s="57" t="s">
        <v>47</v>
      </c>
    </row>
    <row r="3" spans="1:4" ht="21">
      <c r="A3" s="58" t="s">
        <v>48</v>
      </c>
      <c r="B3" s="58" t="s">
        <v>49</v>
      </c>
      <c r="C3" s="58" t="s">
        <v>50</v>
      </c>
      <c r="D3" s="59"/>
    </row>
    <row r="4" spans="1:4" ht="21">
      <c r="A4" s="60" t="s">
        <v>51</v>
      </c>
      <c r="B4" s="73">
        <f>MARKUP!C15</f>
        <v>0.17654320987654321</v>
      </c>
      <c r="C4" s="60" t="s">
        <v>52</v>
      </c>
      <c r="D4" s="59"/>
    </row>
    <row r="5" spans="1:4" ht="21">
      <c r="A5" s="60" t="s">
        <v>53</v>
      </c>
      <c r="B5" s="73">
        <f>MARKUP!B19</f>
        <v>0.08</v>
      </c>
      <c r="C5" s="60" t="s">
        <v>54</v>
      </c>
      <c r="D5" s="61">
        <f>B5+B6+B7</f>
        <v>0.13</v>
      </c>
    </row>
    <row r="6" spans="1:4" ht="21">
      <c r="A6" s="60" t="s">
        <v>55</v>
      </c>
      <c r="B6" s="73">
        <v>0.02</v>
      </c>
      <c r="C6" s="60" t="s">
        <v>56</v>
      </c>
      <c r="D6" s="59"/>
    </row>
    <row r="7" spans="1:4" ht="21">
      <c r="A7" s="60" t="s">
        <v>57</v>
      </c>
      <c r="B7" s="73">
        <v>0.03</v>
      </c>
      <c r="C7" s="60" t="s">
        <v>58</v>
      </c>
      <c r="D7" s="59"/>
    </row>
    <row r="8" spans="1:4" ht="21">
      <c r="A8" s="60" t="s">
        <v>59</v>
      </c>
      <c r="B8" s="73">
        <f>MARKUP!C21</f>
        <v>0.2</v>
      </c>
      <c r="C8" s="60" t="s">
        <v>60</v>
      </c>
      <c r="D8" s="59"/>
    </row>
    <row r="9" spans="1:4" ht="21">
      <c r="A9" s="59"/>
      <c r="B9" s="61">
        <f>SUM(B4:B8)</f>
        <v>0.50654320987654322</v>
      </c>
      <c r="C9" s="59"/>
      <c r="D9" s="59"/>
    </row>
    <row r="10" spans="1:4" ht="21">
      <c r="A10" s="59"/>
      <c r="B10" s="72">
        <v>1</v>
      </c>
      <c r="C10" s="59"/>
      <c r="D10" s="59"/>
    </row>
    <row r="11" spans="1:4" ht="21">
      <c r="A11" s="59"/>
      <c r="B11" s="61">
        <f>B10-B9</f>
        <v>0.49345679012345678</v>
      </c>
      <c r="C11" s="59"/>
      <c r="D11" s="59"/>
    </row>
    <row r="12" spans="1:4" ht="21">
      <c r="A12" s="59"/>
      <c r="B12" s="68">
        <f>B10/B11</f>
        <v>2.0265198899174379</v>
      </c>
      <c r="C12" s="59"/>
      <c r="D12" s="59"/>
    </row>
  </sheetData>
  <pageMargins left="0.75" right="0.75" top="1" bottom="1" header="0.5" footer="0.5"/>
  <headerFooter>
    <oddHeader>&amp;L&amp;"Aptos"&amp;12&amp;KFF0000 Confidencial&amp;1#_x000D_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abSelected="1" workbookViewId="0">
      <selection activeCell="I15" sqref="I15"/>
    </sheetView>
  </sheetViews>
  <sheetFormatPr defaultRowHeight="14.45"/>
  <cols>
    <col min="1" max="1" width="25" customWidth="1"/>
    <col min="2" max="4" width="18" customWidth="1"/>
    <col min="5" max="5" width="31.7109375" bestFit="1" customWidth="1"/>
    <col min="6" max="6" width="21.5703125" bestFit="1" customWidth="1"/>
    <col min="7" max="7" width="11.85546875" bestFit="1" customWidth="1"/>
    <col min="8" max="9" width="18" customWidth="1"/>
  </cols>
  <sheetData>
    <row r="1" spans="1:9" ht="23.45">
      <c r="A1" s="85" t="s">
        <v>61</v>
      </c>
      <c r="B1" s="85"/>
      <c r="C1" s="85"/>
      <c r="D1" s="85"/>
      <c r="E1" s="85"/>
      <c r="F1" s="85"/>
      <c r="G1" s="85"/>
      <c r="H1" s="85"/>
      <c r="I1" s="85"/>
    </row>
    <row r="3" spans="1:9" ht="63">
      <c r="A3" s="62" t="s">
        <v>62</v>
      </c>
      <c r="B3" s="62" t="s">
        <v>63</v>
      </c>
      <c r="C3" s="62" t="s">
        <v>64</v>
      </c>
      <c r="D3" s="62" t="s">
        <v>65</v>
      </c>
      <c r="E3" s="62" t="s">
        <v>66</v>
      </c>
      <c r="F3" s="62" t="s">
        <v>67</v>
      </c>
      <c r="G3" s="62"/>
      <c r="H3" s="62" t="s">
        <v>68</v>
      </c>
      <c r="I3" s="62" t="s">
        <v>69</v>
      </c>
    </row>
    <row r="4" spans="1:9" ht="21">
      <c r="A4" s="74" t="s">
        <v>70</v>
      </c>
      <c r="B4" s="75">
        <v>25</v>
      </c>
      <c r="C4" s="71">
        <f>B4*$C$12</f>
        <v>1.3157894736842104</v>
      </c>
      <c r="D4" s="63">
        <f>B4+C4</f>
        <v>26.315789473684209</v>
      </c>
      <c r="E4" s="69">
        <f>1/(1-SUM('premissas globais'!$B$4:$B$8))</f>
        <v>2.0265198899174379</v>
      </c>
      <c r="F4" s="63">
        <f>D4*E4</f>
        <v>53.329470787300991</v>
      </c>
      <c r="G4" s="63"/>
      <c r="H4" s="75">
        <v>60</v>
      </c>
      <c r="I4" s="64">
        <f>(H4-D4-(H4*SUM('premissas globais'!$B$4:$B$7)))/H4</f>
        <v>0.25486029889538664</v>
      </c>
    </row>
    <row r="5" spans="1:9" ht="21">
      <c r="A5" s="74" t="s">
        <v>71</v>
      </c>
      <c r="B5" s="75">
        <v>60</v>
      </c>
      <c r="C5" s="71">
        <f t="shared" ref="C5:C8" si="0">B5*$C$12</f>
        <v>3.1578947368421053</v>
      </c>
      <c r="D5" s="63">
        <f>B5+C5</f>
        <v>63.157894736842103</v>
      </c>
      <c r="E5" s="69">
        <f>1/(1-SUM('premissas globais'!$B$4:$B$8))</f>
        <v>2.0265198899174379</v>
      </c>
      <c r="F5" s="63">
        <f>D5*E5</f>
        <v>127.99072988952238</v>
      </c>
      <c r="G5" s="63"/>
      <c r="H5" s="75">
        <v>160</v>
      </c>
      <c r="I5" s="64">
        <f>(H5-D5-(H5*SUM('premissas globais'!$B$4:$B$7)))/H5</f>
        <v>0.29871994801819357</v>
      </c>
    </row>
    <row r="6" spans="1:9" ht="21">
      <c r="A6" s="74" t="s">
        <v>72</v>
      </c>
      <c r="B6" s="75">
        <v>120</v>
      </c>
      <c r="C6" s="71">
        <f t="shared" si="0"/>
        <v>6.3157894736842106</v>
      </c>
      <c r="D6" s="63">
        <f>B6+C6</f>
        <v>126.31578947368421</v>
      </c>
      <c r="E6" s="69">
        <f>1/(1-SUM('premissas globais'!$B$4:$B$8))</f>
        <v>2.0265198899174379</v>
      </c>
      <c r="F6" s="63">
        <f>D6*E6</f>
        <v>255.98145977904477</v>
      </c>
      <c r="G6" s="63"/>
      <c r="H6" s="75">
        <v>253</v>
      </c>
      <c r="I6" s="64">
        <f>(H6-D6-(H6*SUM('premissas globais'!$B$4:$B$7)))/H6</f>
        <v>0.19418489497055472</v>
      </c>
    </row>
    <row r="7" spans="1:9" ht="21">
      <c r="A7" s="74" t="s">
        <v>73</v>
      </c>
      <c r="B7" s="75">
        <v>8</v>
      </c>
      <c r="C7" s="71">
        <f t="shared" si="0"/>
        <v>0.42105263157894735</v>
      </c>
      <c r="D7" s="63">
        <f>B7+C7</f>
        <v>8.4210526315789469</v>
      </c>
      <c r="E7" s="69">
        <f>1/(1-SUM('premissas globais'!$B$4:$B$8))</f>
        <v>2.0265198899174379</v>
      </c>
      <c r="F7" s="63">
        <f>D7*E7</f>
        <v>17.065430651936317</v>
      </c>
      <c r="G7" s="63"/>
      <c r="H7" s="75">
        <v>30</v>
      </c>
      <c r="I7" s="64">
        <f>(H7-D7-(H7*SUM('premissas globais'!$B$4:$B$7)))/H7</f>
        <v>0.41275503573749189</v>
      </c>
    </row>
    <row r="8" spans="1:9" ht="21">
      <c r="A8" s="74" t="s">
        <v>74</v>
      </c>
      <c r="B8" s="75">
        <v>15</v>
      </c>
      <c r="C8" s="71">
        <f t="shared" si="0"/>
        <v>0.78947368421052633</v>
      </c>
      <c r="D8" s="63">
        <f>B8+C8</f>
        <v>15.789473684210526</v>
      </c>
      <c r="E8" s="69">
        <f>1/(1-SUM('premissas globais'!$B$4:$B$8))</f>
        <v>2.0265198899174379</v>
      </c>
      <c r="F8" s="63">
        <f>D8*E8</f>
        <v>31.997682472380596</v>
      </c>
      <c r="G8" s="63"/>
      <c r="H8" s="75">
        <v>60</v>
      </c>
      <c r="I8" s="64">
        <f>(H8-D8-(H8*SUM('premissas globais'!$B$4:$B$7)))/H8</f>
        <v>0.43029889538661459</v>
      </c>
    </row>
    <row r="9" spans="1:9" ht="21">
      <c r="A9" s="59"/>
      <c r="B9" s="65">
        <f>SUM(B4:B8)</f>
        <v>228</v>
      </c>
      <c r="C9" s="65">
        <f t="shared" ref="C9:H9" si="1">SUM(C4:C8)</f>
        <v>12</v>
      </c>
      <c r="D9" s="65">
        <f t="shared" si="1"/>
        <v>240</v>
      </c>
      <c r="E9" s="65"/>
      <c r="F9" s="65">
        <f t="shared" si="1"/>
        <v>486.36477358018504</v>
      </c>
      <c r="G9" s="65"/>
      <c r="H9" s="65">
        <f t="shared" si="1"/>
        <v>563</v>
      </c>
      <c r="I9" s="65"/>
    </row>
    <row r="10" spans="1:9" ht="21">
      <c r="A10" s="59"/>
      <c r="B10" s="59"/>
      <c r="C10" s="66"/>
      <c r="D10" s="59"/>
      <c r="E10" s="59"/>
      <c r="F10" s="59"/>
      <c r="G10" s="59"/>
      <c r="H10" s="59"/>
      <c r="I10" s="59"/>
    </row>
    <row r="11" spans="1:9" ht="21">
      <c r="A11" s="59"/>
      <c r="B11" s="59" t="s">
        <v>75</v>
      </c>
      <c r="C11" s="76">
        <v>12</v>
      </c>
      <c r="D11" s="59"/>
      <c r="E11" s="59" t="s">
        <v>76</v>
      </c>
      <c r="F11" s="65">
        <f>F9</f>
        <v>486.36477358018504</v>
      </c>
      <c r="G11" s="66">
        <f>F11/$F$11</f>
        <v>1</v>
      </c>
      <c r="H11" s="65">
        <f>H9</f>
        <v>563</v>
      </c>
      <c r="I11" s="66">
        <f>H11/$H$11</f>
        <v>1</v>
      </c>
    </row>
    <row r="12" spans="1:9" ht="21">
      <c r="A12" s="59"/>
      <c r="B12" s="59"/>
      <c r="C12" s="66">
        <f>C11/B9</f>
        <v>5.2631578947368418E-2</v>
      </c>
      <c r="D12" s="59"/>
      <c r="E12" s="59" t="s">
        <v>77</v>
      </c>
      <c r="F12" s="65">
        <f>D9</f>
        <v>240</v>
      </c>
      <c r="G12" s="66">
        <f t="shared" ref="G12:G16" si="2">F12/$F$11</f>
        <v>0.49345679012345689</v>
      </c>
      <c r="H12" s="65">
        <f>D9</f>
        <v>240</v>
      </c>
      <c r="I12" s="66">
        <f t="shared" ref="I12:I15" si="3">H12/$H$11</f>
        <v>0.42628774422735344</v>
      </c>
    </row>
    <row r="13" spans="1:9" ht="21">
      <c r="A13" s="59"/>
      <c r="B13" s="59"/>
      <c r="C13" s="59"/>
      <c r="D13" s="59"/>
      <c r="E13" s="59" t="s">
        <v>78</v>
      </c>
      <c r="F13" s="67">
        <f>F11*'premissas globais'!D5</f>
        <v>63.227420565424055</v>
      </c>
      <c r="G13" s="66">
        <f t="shared" si="2"/>
        <v>0.13</v>
      </c>
      <c r="H13" s="67">
        <f>H9*'premissas globais'!D5</f>
        <v>73.19</v>
      </c>
      <c r="I13" s="66">
        <f t="shared" si="3"/>
        <v>0.13</v>
      </c>
    </row>
    <row r="14" spans="1:9" ht="21">
      <c r="A14" s="59"/>
      <c r="B14" s="59"/>
      <c r="C14" s="59"/>
      <c r="D14" s="59"/>
      <c r="E14" s="59" t="s">
        <v>27</v>
      </c>
      <c r="F14" s="67">
        <f>F11-F12-F13</f>
        <v>183.137353014761</v>
      </c>
      <c r="G14" s="66">
        <f t="shared" si="2"/>
        <v>0.37654320987654316</v>
      </c>
      <c r="H14" s="67">
        <f>H11-H12-H13</f>
        <v>249.81</v>
      </c>
      <c r="I14" s="66">
        <f t="shared" si="3"/>
        <v>0.44371225577264656</v>
      </c>
    </row>
    <row r="15" spans="1:9" ht="21">
      <c r="A15" s="59"/>
      <c r="B15" s="59"/>
      <c r="C15" s="59"/>
      <c r="D15" s="66"/>
      <c r="E15" s="59" t="s">
        <v>79</v>
      </c>
      <c r="F15" s="67">
        <f>F9*'premissas globais'!B4</f>
        <v>85.864398298724026</v>
      </c>
      <c r="G15" s="66">
        <f t="shared" si="2"/>
        <v>0.17654320987654321</v>
      </c>
      <c r="H15" s="67">
        <f>H9*'premissas globais'!B4</f>
        <v>99.393827160493828</v>
      </c>
      <c r="I15" s="66">
        <f t="shared" si="3"/>
        <v>0.17654320987654321</v>
      </c>
    </row>
    <row r="16" spans="1:9" ht="21">
      <c r="A16" s="59"/>
      <c r="B16" s="59"/>
      <c r="C16" s="59"/>
      <c r="D16" s="59"/>
      <c r="E16" s="59" t="s">
        <v>80</v>
      </c>
      <c r="F16" s="67">
        <f>F14-F15</f>
        <v>97.272954716036978</v>
      </c>
      <c r="G16" s="66">
        <f t="shared" si="2"/>
        <v>0.19999999999999993</v>
      </c>
      <c r="H16" s="67">
        <f>H14-H15</f>
        <v>150.41617283950617</v>
      </c>
      <c r="I16" s="66">
        <f>H16/$H$11</f>
        <v>0.26716904589610335</v>
      </c>
    </row>
    <row r="17" spans="1:9" ht="21">
      <c r="A17" s="59"/>
      <c r="B17" s="59"/>
      <c r="C17" s="59"/>
      <c r="D17" s="59"/>
      <c r="E17" s="59"/>
      <c r="F17" s="59"/>
      <c r="G17" s="59"/>
      <c r="H17" s="59"/>
      <c r="I17" s="59"/>
    </row>
  </sheetData>
  <mergeCells count="1">
    <mergeCell ref="A1:I1"/>
  </mergeCells>
  <pageMargins left="0.75" right="0.75" top="1" bottom="1" header="0.5" footer="0.5"/>
  <headerFooter>
    <oddHeader>&amp;L&amp;"Aptos"&amp;12&amp;KFF0000 Confidencial&amp;1#_x000D_</oddHeader>
  </headerFooter>
  <ignoredErrors>
    <ignoredError sqref="G11:G16" formula="1"/>
  </ignoredErrors>
  <drawing r:id="rId1"/>
</worksheet>
</file>

<file path=docMetadata/LabelInfo.xml><?xml version="1.0" encoding="utf-8"?>
<clbl:labelList xmlns:clbl="http://schemas.microsoft.com/office/2020/mipLabelMetadata">
  <clbl:label id="{7319df4a-8a28-4b56-b6e0-e52ae64fc9d0}" enabled="1" method="Standard" siteId="{97298271-1bd7-4ac5-935b-88addef636c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2026-08-04T01:03:29Z</dcterms:created>
  <dcterms:modified xsi:type="dcterms:W3CDTF">2026-08-04T15:03:38Z</dcterms:modified>
  <cp:category/>
  <cp:contentStatus/>
</cp:coreProperties>
</file>